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ropbox\Research\Proyectos\FONDEF\Fondef IdeA Licuacion\Informe de Avance\Informe Final 2019\"/>
    </mc:Choice>
  </mc:AlternateContent>
  <xr:revisionPtr revIDLastSave="0" documentId="13_ncr:1_{80B8AAC4-3F90-4422-830F-484C0D21CA0F}" xr6:coauthVersionLast="43" xr6:coauthVersionMax="43" xr10:uidLastSave="{00000000-0000-0000-0000-000000000000}"/>
  <bookViews>
    <workbookView xWindow="-120" yWindow="-120" windowWidth="38640" windowHeight="15840" xr2:uid="{00000000-000D-0000-FFFF-FFFF00000000}"/>
  </bookViews>
  <sheets>
    <sheet name="Resumen" sheetId="5" r:id="rId1"/>
    <sheet name="PGA" sheetId="1" r:id="rId2"/>
    <sheet name="coef_PGA" sheetId="2" r:id="rId3"/>
    <sheet name="PGV" sheetId="3" r:id="rId4"/>
    <sheet name="coef_PGV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10" i="3" l="1"/>
  <c r="C9" i="3"/>
  <c r="C8" i="3"/>
  <c r="C7" i="3"/>
  <c r="C28" i="3" s="1"/>
  <c r="C30" i="3" s="1"/>
  <c r="C6" i="3"/>
  <c r="C5" i="3"/>
  <c r="C9" i="1"/>
  <c r="C8" i="1"/>
  <c r="C7" i="1"/>
  <c r="C6" i="1"/>
  <c r="C4" i="1"/>
  <c r="C4" i="3"/>
  <c r="C14" i="3" s="1"/>
  <c r="C3" i="3"/>
  <c r="C3" i="1"/>
  <c r="C48" i="3"/>
  <c r="K5" i="3" s="1"/>
  <c r="C47" i="3"/>
  <c r="C46" i="3"/>
  <c r="K4" i="3" s="1"/>
  <c r="C29" i="3"/>
  <c r="C31" i="3" s="1"/>
  <c r="C49" i="3" l="1"/>
  <c r="K3" i="3" s="1"/>
  <c r="C38" i="3"/>
  <c r="C32" i="3"/>
  <c r="C33" i="3" s="1"/>
  <c r="C21" i="3"/>
  <c r="C19" i="3"/>
  <c r="C22" i="3"/>
  <c r="C23" i="3" s="1"/>
  <c r="C15" i="3"/>
  <c r="C16" i="3" s="1"/>
  <c r="C18" i="3"/>
  <c r="C37" i="3"/>
  <c r="C35" i="1"/>
  <c r="C34" i="1"/>
  <c r="K4" i="1" s="1"/>
  <c r="C33" i="1"/>
  <c r="C37" i="1" s="1"/>
  <c r="K3" i="1" s="1"/>
  <c r="C29" i="1"/>
  <c r="C25" i="1"/>
  <c r="C23" i="1"/>
  <c r="C12" i="1"/>
  <c r="C15" i="1" s="1"/>
  <c r="C16" i="1" s="1"/>
  <c r="C22" i="1"/>
  <c r="C20" i="1"/>
  <c r="C19" i="1"/>
  <c r="C17" i="1"/>
  <c r="C14" i="1"/>
  <c r="C24" i="1" s="1"/>
  <c r="C36" i="1" l="1"/>
  <c r="K5" i="1"/>
  <c r="C20" i="3"/>
  <c r="C34" i="3" s="1"/>
  <c r="C35" i="3" s="1"/>
  <c r="C41" i="3" s="1"/>
  <c r="C21" i="1"/>
  <c r="C18" i="1"/>
  <c r="C39" i="3" l="1"/>
  <c r="C40" i="3" s="1"/>
  <c r="C42" i="3" s="1"/>
  <c r="C43" i="3" s="1"/>
  <c r="C44" i="3" s="1"/>
  <c r="G3" i="3" s="1"/>
  <c r="G4" i="5" s="1"/>
  <c r="C26" i="1"/>
  <c r="C27" i="1" s="1"/>
  <c r="C28" i="1" s="1"/>
  <c r="C30" i="1" s="1"/>
  <c r="C31" i="1" s="1"/>
  <c r="G3" i="1" s="1"/>
  <c r="G4" i="1" l="1"/>
  <c r="G3" i="5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" authorId="0" shapeId="0" xr:uid="{5A9D09D7-07CA-4796-8115-1C57D57687C3}">
      <text>
        <r>
          <rPr>
            <sz val="9"/>
            <color indexed="81"/>
            <rFont val="Tahoma"/>
            <family val="2"/>
          </rPr>
          <t xml:space="preserve">
Distancia más corta al plano de ruptura para el caso de eventos interplaca. Para Chile, en ausencia de un cálculo exacto, use valores entre 30 y 300 kms.</t>
        </r>
      </text>
    </comment>
    <comment ref="B4" authorId="0" shapeId="0" xr:uid="{492C4BD3-4779-45CF-B412-B9DB9B314BA8}">
      <text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charset val="1"/>
          </rPr>
          <t xml:space="preserve">
Magnitud de Momento, Mw</t>
        </r>
      </text>
    </comment>
    <comment ref="B5" authorId="0" shapeId="0" xr:uid="{ADCC29DD-A72D-41EB-8B52-EFCD0133C63C}">
      <text>
        <r>
          <rPr>
            <sz val="9"/>
            <color indexed="81"/>
            <rFont val="Tahoma"/>
            <charset val="1"/>
          </rPr>
          <t xml:space="preserve">
Interplaca (=1)
Intraplaca (=0)
Para licuación según Manual de Carreteras, use 1</t>
        </r>
      </text>
    </comment>
    <comment ref="B8" authorId="0" shapeId="0" xr:uid="{2E9984A5-C44F-4386-839C-113DC86D0D93}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Ubicación del sitio con respecto al arco volcanico. Sitio en Chile son todos Antearco (=0).</t>
        </r>
      </text>
    </comment>
    <comment ref="B9" authorId="0" shapeId="0" xr:uid="{54D6DBC4-05E4-4091-B39C-75DD3C76AB42}">
      <text>
        <r>
          <rPr>
            <sz val="9"/>
            <color indexed="81"/>
            <rFont val="Tahoma"/>
            <charset val="1"/>
          </rPr>
          <t xml:space="preserve">
Frecuencia predominante del sitio en análisis, que puede ser obtenida mediante la técnica de Nakaramura (razón espectral H/V)</t>
        </r>
      </text>
    </comment>
    <comment ref="B10" authorId="0" shapeId="0" xr:uid="{F72FD6C3-032E-48C3-B767-9D359DDBA6C5}">
      <text>
        <r>
          <rPr>
            <sz val="9"/>
            <color indexed="81"/>
            <rFont val="Tahoma"/>
            <charset val="1"/>
          </rPr>
          <t xml:space="preserve">
Forma de la curva de frecuencia predominante. Si existe un peak claro (=1), si la curva es plano o reune condiciones de peak claro (=0)</t>
        </r>
      </text>
    </comment>
    <comment ref="B11" authorId="0" shapeId="0" xr:uid="{BBD4FE77-1DD3-4EB7-AC72-656D427E68DE}">
      <text>
        <r>
          <rPr>
            <sz val="9"/>
            <color indexed="81"/>
            <rFont val="Tahoma"/>
            <charset val="1"/>
          </rPr>
          <t xml:space="preserve">
Número de desviaciones estandar con respecto la mediana del modelo. 
Número de desviaciones estandar con respecto la mediana del modelo. Para la mejor estimación use 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" authorId="0" shapeId="0" xr:uid="{941B7F74-ECA5-49F3-B148-C7F2FE7F1734}">
      <text>
        <r>
          <rPr>
            <sz val="9"/>
            <color indexed="81"/>
            <rFont val="Tahoma"/>
            <charset val="1"/>
          </rPr>
          <t xml:space="preserve">
Distancia más corta al plano de ruptura para el caso de eventos interplaca. Para Chile, en ausencia de un cálculo exacto, use valores entre 30 y 300 kms.
 </t>
        </r>
      </text>
    </comment>
    <comment ref="B4" authorId="0" shapeId="0" xr:uid="{75C8DE4C-1C3E-4E31-916E-391499085B06}">
      <text>
        <r>
          <rPr>
            <sz val="9"/>
            <color indexed="81"/>
            <rFont val="Tahoma"/>
            <charset val="1"/>
          </rPr>
          <t xml:space="preserve">
Magnitud de Momento, Mw</t>
        </r>
      </text>
    </comment>
    <comment ref="B5" authorId="0" shapeId="0" xr:uid="{D4DBEECF-9C49-494E-9D94-A3304488D75A}">
      <text>
        <r>
          <rPr>
            <sz val="9"/>
            <color indexed="81"/>
            <rFont val="Tahoma"/>
            <charset val="1"/>
          </rPr>
          <t xml:space="preserve">
Interplaca (=1)
Intraplaca (=0)
Para licuación según Manual de Carreteras, use 1</t>
        </r>
      </text>
    </comment>
    <comment ref="B8" authorId="0" shapeId="0" xr:uid="{97463C53-7128-4E7A-A40A-3497697BCCFF}">
      <text>
        <r>
          <rPr>
            <sz val="9"/>
            <color indexed="81"/>
            <rFont val="Tahoma"/>
            <charset val="1"/>
          </rPr>
          <t xml:space="preserve">
Ubicación del sitio con respecto al arco volcanico. Sitio en Chile son todos Antearco (=0).</t>
        </r>
      </text>
    </comment>
    <comment ref="B9" authorId="0" shapeId="0" xr:uid="{3A235088-B54E-4AAB-8C07-D506F41491CC}">
      <text>
        <r>
          <rPr>
            <sz val="9"/>
            <color indexed="81"/>
            <rFont val="Tahoma"/>
            <charset val="1"/>
          </rPr>
          <t xml:space="preserve">
Número de desviaciones estandar con respecto la mediana del modelo. Para la mejor estimación use 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3" authorId="0" shapeId="0" xr:uid="{B112AFCE-080D-43DC-ADE4-5E69AF3AA4CA}">
      <text>
        <r>
          <rPr>
            <sz val="9"/>
            <color indexed="81"/>
            <rFont val="Tahoma"/>
            <family val="2"/>
          </rPr>
          <t xml:space="preserve">
Distancia más corta al plano de ruptura para el caso de eventos interplaca. Para Chile, en ausencia de un cálculo exacto, use valores entre 30 y 300 kms.</t>
        </r>
      </text>
    </comment>
    <comment ref="B4" authorId="0" shapeId="0" xr:uid="{08B156D5-93FF-49EE-86B6-26DD01D8909B}">
      <text>
        <r>
          <rPr>
            <b/>
            <sz val="9"/>
            <color indexed="81"/>
            <rFont val="Tahoma"/>
            <charset val="1"/>
          </rPr>
          <t xml:space="preserve"> </t>
        </r>
        <r>
          <rPr>
            <sz val="9"/>
            <color indexed="81"/>
            <rFont val="Tahoma"/>
            <charset val="1"/>
          </rPr>
          <t xml:space="preserve">
Magnitud de Momento, Mw</t>
        </r>
      </text>
    </comment>
    <comment ref="B5" authorId="0" shapeId="0" xr:uid="{68776AB7-8D2A-4136-83A2-7A010AB6AAC9}">
      <text>
        <r>
          <rPr>
            <sz val="9"/>
            <color indexed="81"/>
            <rFont val="Tahoma"/>
            <charset val="1"/>
          </rPr>
          <t xml:space="preserve">
Interplaca (=1)
Intraplaca (=0)
Para licuación según Manual de Carreteras, use 1</t>
        </r>
      </text>
    </comment>
    <comment ref="B8" authorId="0" shapeId="0" xr:uid="{64251AA9-9FC2-47DD-AE0A-C0FA177CD6A4}">
      <text>
        <r>
          <rPr>
            <sz val="9"/>
            <color indexed="81"/>
            <rFont val="Tahoma"/>
            <charset val="1"/>
          </rPr>
          <t xml:space="preserve">
Frecuencia predominante del sitio en análisis, que puede ser obtenida mediante la técnica de Nakaramura (razón espectral H/V)</t>
        </r>
      </text>
    </comment>
    <comment ref="B9" authorId="0" shapeId="0" xr:uid="{F6A53325-FCBB-4B06-8B10-515916984BAC}">
      <text>
        <r>
          <rPr>
            <sz val="9"/>
            <color indexed="81"/>
            <rFont val="Tahoma"/>
            <charset val="1"/>
          </rPr>
          <t xml:space="preserve">
Forma de la curva de frecuencia predominante. Si existe un peak claro (=1), si la curva es plano o reune condiciones de peak claro (=0)</t>
        </r>
      </text>
    </comment>
    <comment ref="B10" authorId="0" shapeId="0" xr:uid="{395F7A73-E687-4886-BA81-CECD083351B0}">
      <text>
        <r>
          <rPr>
            <sz val="9"/>
            <color indexed="81"/>
            <rFont val="Tahoma"/>
            <charset val="1"/>
          </rPr>
          <t xml:space="preserve">
Número de desviaciones estandar con respecto la mediana del modelo. 
Número de desviaciones estandar con respecto la mediana del modelo. Para la mejor estimación use 0.</t>
        </r>
      </text>
    </comment>
  </commentList>
</comments>
</file>

<file path=xl/sharedStrings.xml><?xml version="1.0" encoding="utf-8"?>
<sst xmlns="http://schemas.openxmlformats.org/spreadsheetml/2006/main" count="194" uniqueCount="149">
  <si>
    <t>th(11)</t>
  </si>
  <si>
    <t xml:space="preserve">      th(13)</t>
  </si>
  <si>
    <t xml:space="preserve">       th(14)</t>
  </si>
  <si>
    <t xml:space="preserve">    th(15)</t>
  </si>
  <si>
    <t>th(16)</t>
  </si>
  <si>
    <t>c4</t>
  </si>
  <si>
    <t xml:space="preserve">C1 </t>
  </si>
  <si>
    <t xml:space="preserve">DC1  </t>
  </si>
  <si>
    <t xml:space="preserve">n     </t>
  </si>
  <si>
    <t xml:space="preserve">c      </t>
  </si>
  <si>
    <t xml:space="preserve">vlin      </t>
  </si>
  <si>
    <t xml:space="preserve"> b                                                   </t>
  </si>
  <si>
    <t xml:space="preserve">th(1)       </t>
  </si>
  <si>
    <t xml:space="preserve">th(2)      </t>
  </si>
  <si>
    <t>th(3)</t>
  </si>
  <si>
    <t xml:space="preserve">   th(4)           </t>
  </si>
  <si>
    <t xml:space="preserve">th(5)        </t>
  </si>
  <si>
    <t xml:space="preserve">th(6)          </t>
  </si>
  <si>
    <t>th(7)</t>
  </si>
  <si>
    <t xml:space="preserve">th(8)   </t>
  </si>
  <si>
    <t xml:space="preserve">th(9)   </t>
  </si>
  <si>
    <t>th(10)</t>
  </si>
  <si>
    <t>th(12)</t>
  </si>
  <si>
    <t xml:space="preserve">   phi          </t>
  </si>
  <si>
    <t xml:space="preserve">tau     </t>
  </si>
  <si>
    <t xml:space="preserve">sigma_total   </t>
  </si>
  <si>
    <t>phi_S2S</t>
  </si>
  <si>
    <t>Variables de Entrada</t>
  </si>
  <si>
    <t>Distancia</t>
  </si>
  <si>
    <t>km</t>
  </si>
  <si>
    <t>Magnitud</t>
  </si>
  <si>
    <t>Mw</t>
  </si>
  <si>
    <t>Sismogenesis</t>
  </si>
  <si>
    <t>ProfundidaFocal</t>
  </si>
  <si>
    <t>Vs30</t>
  </si>
  <si>
    <t>Antearco/trasarco</t>
  </si>
  <si>
    <t>-</t>
  </si>
  <si>
    <t>m/s</t>
  </si>
  <si>
    <t>tdc1</t>
  </si>
  <si>
    <t>T</t>
  </si>
  <si>
    <t>F_event</t>
  </si>
  <si>
    <t>theta_45</t>
  </si>
  <si>
    <t>f_mag</t>
  </si>
  <si>
    <t>PGA</t>
  </si>
  <si>
    <t>g</t>
  </si>
  <si>
    <t>cm/seg^2</t>
  </si>
  <si>
    <t>m/seg^2</t>
  </si>
  <si>
    <t>H</t>
  </si>
  <si>
    <t>f_depth</t>
  </si>
  <si>
    <t>R_faba1</t>
  </si>
  <si>
    <t>R_faba2</t>
  </si>
  <si>
    <t>f_faba</t>
  </si>
  <si>
    <t>Vs2</t>
  </si>
  <si>
    <t>f_site_rock</t>
  </si>
  <si>
    <t>ln_Sa</t>
  </si>
  <si>
    <t>PGA1000</t>
  </si>
  <si>
    <t>dist1</t>
  </si>
  <si>
    <t>dist2</t>
  </si>
  <si>
    <t>f_site</t>
  </si>
  <si>
    <t>f_site2</t>
  </si>
  <si>
    <t>ln_Sa_rock</t>
  </si>
  <si>
    <t>Sa_rock</t>
  </si>
  <si>
    <t>phi</t>
  </si>
  <si>
    <t>tau</t>
  </si>
  <si>
    <t>phiS2S</t>
  </si>
  <si>
    <t>sigma_total</t>
  </si>
  <si>
    <t>phiSS</t>
  </si>
  <si>
    <t>σ</t>
  </si>
  <si>
    <t>τ</t>
  </si>
  <si>
    <t>φ</t>
  </si>
  <si>
    <t>Desviaciones Modelo</t>
  </si>
  <si>
    <t>Intensidad estimada</t>
  </si>
  <si>
    <t>PGV</t>
  </si>
  <si>
    <t>cm/seg</t>
  </si>
  <si>
    <t xml:space="preserve">      a3</t>
  </si>
  <si>
    <t xml:space="preserve">       a4</t>
  </si>
  <si>
    <t xml:space="preserve">        a5</t>
  </si>
  <si>
    <t xml:space="preserve">       a5b</t>
  </si>
  <si>
    <t xml:space="preserve">       a6</t>
  </si>
  <si>
    <t xml:space="preserve">        a6b</t>
  </si>
  <si>
    <t xml:space="preserve">       a7</t>
  </si>
  <si>
    <t xml:space="preserve">      a8</t>
  </si>
  <si>
    <t xml:space="preserve">         a9</t>
  </si>
  <si>
    <t xml:space="preserve">        a10</t>
  </si>
  <si>
    <t xml:space="preserve">       a11</t>
  </si>
  <si>
    <t xml:space="preserve">        a12</t>
  </si>
  <si>
    <t xml:space="preserve">       tau</t>
  </si>
  <si>
    <t xml:space="preserve">     phiS2S</t>
  </si>
  <si>
    <t xml:space="preserve">     phiSS</t>
  </si>
  <si>
    <t xml:space="preserve">     sigma</t>
  </si>
  <si>
    <t xml:space="preserve">    </t>
  </si>
  <si>
    <t>a2</t>
  </si>
  <si>
    <t xml:space="preserve"> a1           </t>
  </si>
  <si>
    <t>f0</t>
  </si>
  <si>
    <t>Peak Claro</t>
  </si>
  <si>
    <t>Hz</t>
  </si>
  <si>
    <t>Mc</t>
  </si>
  <si>
    <t>source1</t>
  </si>
  <si>
    <t>source2</t>
  </si>
  <si>
    <t>Fsource</t>
  </si>
  <si>
    <t>path1</t>
  </si>
  <si>
    <t>path2</t>
  </si>
  <si>
    <t>Fpath</t>
  </si>
  <si>
    <t>th9b</t>
  </si>
  <si>
    <t>event1</t>
  </si>
  <si>
    <t>event2</t>
  </si>
  <si>
    <t>Fevent</t>
  </si>
  <si>
    <t>n</t>
  </si>
  <si>
    <t>n2</t>
  </si>
  <si>
    <t>Vs_ref</t>
  </si>
  <si>
    <t>f0_ref</t>
  </si>
  <si>
    <t>Vs_lin</t>
  </si>
  <si>
    <t>f0_lin</t>
  </si>
  <si>
    <t>siteLin1</t>
  </si>
  <si>
    <t>siteLin2</t>
  </si>
  <si>
    <t>siteLin3</t>
  </si>
  <si>
    <t>Fsite_rock</t>
  </si>
  <si>
    <t>lnPGVref</t>
  </si>
  <si>
    <t>PGV_ref</t>
  </si>
  <si>
    <t>th13</t>
  </si>
  <si>
    <t>siteNoLin1</t>
  </si>
  <si>
    <t>siteNoLin2</t>
  </si>
  <si>
    <t>siteNoLin3</t>
  </si>
  <si>
    <t>siteNoLin4</t>
  </si>
  <si>
    <t>siteNoLin5</t>
  </si>
  <si>
    <t>siteNoLin6</t>
  </si>
  <si>
    <t>Fsite</t>
  </si>
  <si>
    <t>lnPGV</t>
  </si>
  <si>
    <t>sigma</t>
  </si>
  <si>
    <t>Intensidades Estimadas</t>
  </si>
  <si>
    <t>Referencias:</t>
  </si>
  <si>
    <t>[ResearchGate]</t>
  </si>
  <si>
    <t>[BSSA 1]</t>
  </si>
  <si>
    <t>[BSSA 2]</t>
  </si>
  <si>
    <t>Bulletin of the Seismological Society of America. 107 (2): 901-911</t>
  </si>
  <si>
    <t>(1)</t>
  </si>
  <si>
    <t>(2)</t>
  </si>
  <si>
    <t>[]</t>
  </si>
  <si>
    <t>(3)</t>
  </si>
  <si>
    <r>
      <rPr>
        <b/>
        <sz val="11"/>
        <color theme="1"/>
        <rFont val="Times New Roman"/>
        <family val="1"/>
      </rPr>
      <t>Montalva, G</t>
    </r>
    <r>
      <rPr>
        <sz val="11"/>
        <color theme="1"/>
        <rFont val="Times New Roman"/>
        <family val="1"/>
      </rPr>
      <t>., Bastías, N., y Rodriguez-Marek, A. (2017). Ground‐Motion Prediction Equation for the Chilean Subduction Zone.</t>
    </r>
  </si>
  <si>
    <r>
      <rPr>
        <b/>
        <sz val="11"/>
        <color theme="1"/>
        <rFont val="Times New Roman"/>
        <family val="1"/>
      </rPr>
      <t>Montalva, G</t>
    </r>
    <r>
      <rPr>
        <sz val="11"/>
        <color theme="1"/>
        <rFont val="Times New Roman"/>
        <family val="1"/>
      </rPr>
      <t>., Bastías, N., y Leyton, F. (2019). Strong and Moderate Ground Motion Prediction Model for PGV and spectral response on Chilean subduction zone.</t>
    </r>
  </si>
  <si>
    <r>
      <t xml:space="preserve">Bastías, N., </t>
    </r>
    <r>
      <rPr>
        <b/>
        <sz val="11"/>
        <color theme="1"/>
        <rFont val="Times New Roman"/>
        <family val="1"/>
      </rPr>
      <t>Montalva, G.</t>
    </r>
    <r>
      <rPr>
        <sz val="11"/>
        <color theme="1"/>
        <rFont val="Times New Roman"/>
        <family val="1"/>
      </rPr>
      <t>, Leyton, F. (2018). Modelo Predictivo de Velocidad Máxima (PGV) y Espectral (PSv) para Zona de Subducción Chilena</t>
    </r>
  </si>
  <si>
    <t>épsilon</t>
  </si>
  <si>
    <t>Distancia (kms)</t>
  </si>
  <si>
    <t>Magnitud (Mw)</t>
  </si>
  <si>
    <t>En proceso de envío a BSSA</t>
  </si>
  <si>
    <t>X Congreso  Sociedad Chilena Geotécnia (SOCHIGE). Valparaíso</t>
  </si>
  <si>
    <t>Profundidad Focal</t>
  </si>
  <si>
    <t>Sismogénesis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</si>
</sst>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4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quotePrefix="1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/>
    <xf numFmtId="0" fontId="3" fillId="0" borderId="0" xfId="0" quotePrefix="1" applyFont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0" quotePrefix="1" applyFont="1"/>
    <xf numFmtId="0" fontId="4" fillId="2" borderId="1" xfId="0" applyFont="1" applyFill="1" applyBorder="1" applyProtection="1">
      <protection locked="0"/>
    </xf>
    <xf numFmtId="0" fontId="4" fillId="0" borderId="0" xfId="0" applyFont="1" applyProtection="1">
      <protection hidden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Protection="1">
      <protection hidden="1"/>
    </xf>
    <xf numFmtId="2" fontId="4" fillId="0" borderId="1" xfId="0" applyNumberFormat="1" applyFont="1" applyBorder="1" applyProtection="1">
      <protection hidden="1"/>
    </xf>
    <xf numFmtId="0" fontId="4" fillId="2" borderId="1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bs.geoscienceworld.org/ssa/bssa/article-abstract/107/5/2541/506711/erratum-to-ground-motion-prediction-equation-for?redirectedFrom=fulltex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pubs.geoscienceworld.org/ssa/bssa/article-abstract/107/2/901/354169/ground-motion-prediction-equation-for-the-chilean?redirectedFrom=fulltext" TargetMode="External"/><Relationship Id="rId1" Type="http://schemas.openxmlformats.org/officeDocument/2006/relationships/hyperlink" Target="https://www.researchgate.net/publication/313427966_Ground-Motion_Prediction_Equation_for_the_Chilean_Subduction_Zon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esearchgate.net/publication/329896462_Modelo_Predictivo_de_Velocidad_Maxima_PGV_y_Espectral_PSv_para_Zona_de_Subduccion_Chilen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D6BE-2203-4EAF-BD86-058FB7524149}">
  <sheetPr>
    <tabColor rgb="FFFF0000"/>
  </sheetPr>
  <dimension ref="A2:H23"/>
  <sheetViews>
    <sheetView tabSelected="1" zoomScale="120" zoomScaleNormal="120" workbookViewId="0">
      <selection activeCell="P16" sqref="P16"/>
    </sheetView>
  </sheetViews>
  <sheetFormatPr defaultColWidth="11.42578125" defaultRowHeight="15.75" x14ac:dyDescent="0.25"/>
  <cols>
    <col min="1" max="1" width="3.5703125" style="3" bestFit="1" customWidth="1"/>
    <col min="2" max="2" width="18.85546875" style="3" customWidth="1"/>
    <col min="3" max="3" width="9.7109375" style="3" customWidth="1"/>
    <col min="4" max="5" width="11.42578125" style="3"/>
    <col min="6" max="6" width="9.28515625" style="3" customWidth="1"/>
    <col min="7" max="16384" width="11.42578125" style="3"/>
  </cols>
  <sheetData>
    <row r="2" spans="1:8" x14ac:dyDescent="0.25">
      <c r="B2" s="24" t="s">
        <v>27</v>
      </c>
      <c r="C2" s="24"/>
      <c r="D2" s="24"/>
      <c r="F2" s="24" t="s">
        <v>129</v>
      </c>
      <c r="G2" s="24"/>
      <c r="H2" s="24"/>
    </row>
    <row r="3" spans="1:8" x14ac:dyDescent="0.25">
      <c r="B3" s="4" t="s">
        <v>28</v>
      </c>
      <c r="C3" s="22">
        <v>50</v>
      </c>
      <c r="D3" s="4" t="s">
        <v>29</v>
      </c>
      <c r="F3" s="4" t="s">
        <v>43</v>
      </c>
      <c r="G3" s="6">
        <f>+PGA!G3</f>
        <v>0.31359872602457239</v>
      </c>
      <c r="H3" s="4" t="s">
        <v>44</v>
      </c>
    </row>
    <row r="4" spans="1:8" x14ac:dyDescent="0.25">
      <c r="B4" s="4" t="s">
        <v>30</v>
      </c>
      <c r="C4" s="22">
        <v>8</v>
      </c>
      <c r="D4" s="4" t="s">
        <v>31</v>
      </c>
      <c r="F4" s="4" t="s">
        <v>72</v>
      </c>
      <c r="G4" s="7">
        <f>+PGV!G3</f>
        <v>67.494870589199564</v>
      </c>
      <c r="H4" s="4" t="s">
        <v>45</v>
      </c>
    </row>
    <row r="5" spans="1:8" x14ac:dyDescent="0.25">
      <c r="B5" s="4" t="s">
        <v>32</v>
      </c>
      <c r="C5" s="22">
        <v>1</v>
      </c>
      <c r="D5" s="8" t="s">
        <v>36</v>
      </c>
    </row>
    <row r="6" spans="1:8" x14ac:dyDescent="0.25">
      <c r="B6" s="4" t="s">
        <v>147</v>
      </c>
      <c r="C6" s="22">
        <v>35</v>
      </c>
      <c r="D6" s="4" t="s">
        <v>29</v>
      </c>
    </row>
    <row r="7" spans="1:8" x14ac:dyDescent="0.25">
      <c r="B7" s="4" t="s">
        <v>34</v>
      </c>
      <c r="C7" s="22">
        <v>300</v>
      </c>
      <c r="D7" s="4" t="s">
        <v>37</v>
      </c>
    </row>
    <row r="8" spans="1:8" x14ac:dyDescent="0.25">
      <c r="B8" s="4" t="s">
        <v>35</v>
      </c>
      <c r="C8" s="22">
        <v>0</v>
      </c>
      <c r="D8" s="8" t="s">
        <v>36</v>
      </c>
    </row>
    <row r="9" spans="1:8" x14ac:dyDescent="0.25">
      <c r="B9" s="4" t="s">
        <v>93</v>
      </c>
      <c r="C9" s="22">
        <v>0.8</v>
      </c>
      <c r="D9" s="8" t="s">
        <v>95</v>
      </c>
    </row>
    <row r="10" spans="1:8" x14ac:dyDescent="0.25">
      <c r="B10" s="4" t="s">
        <v>94</v>
      </c>
      <c r="C10" s="22">
        <v>1</v>
      </c>
      <c r="D10" s="8" t="s">
        <v>36</v>
      </c>
    </row>
    <row r="11" spans="1:8" x14ac:dyDescent="0.25">
      <c r="B11" s="9" t="s">
        <v>142</v>
      </c>
      <c r="C11" s="22">
        <v>0</v>
      </c>
      <c r="D11" s="8" t="s">
        <v>36</v>
      </c>
    </row>
    <row r="14" spans="1:8" s="2" customFormat="1" ht="15" x14ac:dyDescent="0.25">
      <c r="B14" s="18" t="s">
        <v>130</v>
      </c>
    </row>
    <row r="15" spans="1:8" s="2" customFormat="1" ht="15" x14ac:dyDescent="0.25">
      <c r="A15" s="19" t="s">
        <v>135</v>
      </c>
      <c r="B15" s="2" t="s">
        <v>139</v>
      </c>
    </row>
    <row r="16" spans="1:8" s="2" customFormat="1" ht="15" x14ac:dyDescent="0.25">
      <c r="B16" s="2" t="s">
        <v>134</v>
      </c>
    </row>
    <row r="17" spans="1:4" s="2" customFormat="1" ht="15" x14ac:dyDescent="0.25">
      <c r="B17" s="20" t="s">
        <v>131</v>
      </c>
      <c r="C17" s="20" t="s">
        <v>132</v>
      </c>
      <c r="D17" s="20" t="s">
        <v>133</v>
      </c>
    </row>
    <row r="18" spans="1:4" s="2" customFormat="1" ht="15" x14ac:dyDescent="0.25">
      <c r="A18" s="19" t="s">
        <v>136</v>
      </c>
      <c r="B18" s="2" t="s">
        <v>140</v>
      </c>
    </row>
    <row r="19" spans="1:4" s="2" customFormat="1" ht="15" x14ac:dyDescent="0.25">
      <c r="B19" s="2" t="s">
        <v>145</v>
      </c>
    </row>
    <row r="20" spans="1:4" s="2" customFormat="1" ht="15" x14ac:dyDescent="0.25">
      <c r="B20" s="2" t="s">
        <v>137</v>
      </c>
    </row>
    <row r="21" spans="1:4" s="2" customFormat="1" ht="15" x14ac:dyDescent="0.25">
      <c r="A21" s="21" t="s">
        <v>138</v>
      </c>
      <c r="B21" s="2" t="s">
        <v>141</v>
      </c>
    </row>
    <row r="22" spans="1:4" s="2" customFormat="1" ht="15" x14ac:dyDescent="0.25">
      <c r="B22" s="2" t="s">
        <v>146</v>
      </c>
    </row>
    <row r="23" spans="1:4" s="2" customFormat="1" ht="15" x14ac:dyDescent="0.25">
      <c r="B23" s="20" t="s">
        <v>131</v>
      </c>
    </row>
  </sheetData>
  <mergeCells count="2">
    <mergeCell ref="B2:D2"/>
    <mergeCell ref="F2:H2"/>
  </mergeCells>
  <hyperlinks>
    <hyperlink ref="B17" r:id="rId1" xr:uid="{EF3C9B99-9B78-445F-832E-2608A26CAE61}"/>
    <hyperlink ref="C17" r:id="rId2" display="[BSSA]" xr:uid="{D9047FEC-656A-49FC-B404-F06085AEE459}"/>
    <hyperlink ref="D17" r:id="rId3" xr:uid="{9163F70B-3258-47A5-8CBC-A3313BC93213}"/>
    <hyperlink ref="B23" r:id="rId4" xr:uid="{5C5734B2-3632-4DD1-A012-681B8E5BF836}"/>
  </hyperlinks>
  <pageMargins left="0.7" right="0.7" top="0.75" bottom="0.75" header="0.3" footer="0.3"/>
  <pageSetup orientation="portrait" horizontalDpi="4294967295" verticalDpi="4294967295" r:id="rId5"/>
  <ignoredErrors>
    <ignoredError sqref="A15 A18 A21" numberStoredAsText="1"/>
  </ignoredError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7"/>
  <sheetViews>
    <sheetView workbookViewId="0">
      <selection activeCell="G5" sqref="G5"/>
    </sheetView>
  </sheetViews>
  <sheetFormatPr defaultColWidth="9.140625" defaultRowHeight="15.75" x14ac:dyDescent="0.25"/>
  <cols>
    <col min="1" max="1" width="9.140625" style="3"/>
    <col min="2" max="2" width="16.85546875" style="3" customWidth="1"/>
    <col min="3" max="3" width="9.42578125" style="3" bestFit="1" customWidth="1"/>
    <col min="4" max="6" width="9.140625" style="3"/>
    <col min="7" max="7" width="9.5703125" style="3" bestFit="1" customWidth="1"/>
    <col min="8" max="9" width="9.140625" style="3"/>
    <col min="10" max="10" width="10.140625" style="3" customWidth="1"/>
    <col min="11" max="11" width="11.7109375" style="3" customWidth="1"/>
    <col min="12" max="16384" width="9.140625" style="3"/>
  </cols>
  <sheetData>
    <row r="2" spans="2:11" x14ac:dyDescent="0.25">
      <c r="B2" s="25" t="s">
        <v>27</v>
      </c>
      <c r="C2" s="25"/>
      <c r="D2" s="25"/>
      <c r="F2" s="25" t="s">
        <v>71</v>
      </c>
      <c r="G2" s="25"/>
      <c r="H2" s="25"/>
      <c r="J2" s="25" t="s">
        <v>70</v>
      </c>
      <c r="K2" s="25"/>
    </row>
    <row r="3" spans="2:11" x14ac:dyDescent="0.25">
      <c r="B3" s="4" t="s">
        <v>143</v>
      </c>
      <c r="C3" s="29">
        <f>+Resumen!C3</f>
        <v>50</v>
      </c>
      <c r="D3" s="4" t="s">
        <v>29</v>
      </c>
      <c r="F3" s="26" t="s">
        <v>43</v>
      </c>
      <c r="G3" s="10">
        <f>+EXP(C31 +C9*C37)</f>
        <v>0.31359872602457239</v>
      </c>
      <c r="H3" s="4" t="s">
        <v>44</v>
      </c>
      <c r="J3" s="11" t="s">
        <v>67</v>
      </c>
      <c r="K3" s="12">
        <f>+C37</f>
        <v>0.83844917950022957</v>
      </c>
    </row>
    <row r="4" spans="2:11" x14ac:dyDescent="0.25">
      <c r="B4" s="4" t="s">
        <v>144</v>
      </c>
      <c r="C4" s="29">
        <f>+Resumen!C4</f>
        <v>8</v>
      </c>
      <c r="D4" s="4" t="s">
        <v>31</v>
      </c>
      <c r="F4" s="26"/>
      <c r="G4" s="13">
        <f>+G3*981</f>
        <v>307.64035023010553</v>
      </c>
      <c r="H4" s="4" t="s">
        <v>45</v>
      </c>
      <c r="J4" s="11" t="s">
        <v>68</v>
      </c>
      <c r="K4" s="12">
        <f>+C34</f>
        <v>0.47462209</v>
      </c>
    </row>
    <row r="5" spans="2:11" x14ac:dyDescent="0.25">
      <c r="B5" s="4" t="s">
        <v>148</v>
      </c>
      <c r="C5" s="29">
        <f>+Resumen!C5</f>
        <v>1</v>
      </c>
      <c r="D5" s="8" t="s">
        <v>36</v>
      </c>
      <c r="F5" s="26"/>
      <c r="G5" s="13">
        <f>+G3*9.81</f>
        <v>3.0764035023010554</v>
      </c>
      <c r="H5" s="4" t="s">
        <v>46</v>
      </c>
      <c r="J5" s="11" t="s">
        <v>69</v>
      </c>
      <c r="K5" s="12">
        <f>+C33</f>
        <v>0.69118080000000004</v>
      </c>
    </row>
    <row r="6" spans="2:11" x14ac:dyDescent="0.25">
      <c r="B6" s="4" t="s">
        <v>33</v>
      </c>
      <c r="C6" s="29">
        <f>+Resumen!C6</f>
        <v>35</v>
      </c>
      <c r="D6" s="4" t="s">
        <v>29</v>
      </c>
    </row>
    <row r="7" spans="2:11" x14ac:dyDescent="0.25">
      <c r="B7" s="4" t="s">
        <v>34</v>
      </c>
      <c r="C7" s="29">
        <f>+Resumen!C7</f>
        <v>300</v>
      </c>
      <c r="D7" s="4" t="s">
        <v>37</v>
      </c>
    </row>
    <row r="8" spans="2:11" x14ac:dyDescent="0.25">
      <c r="B8" s="4" t="s">
        <v>35</v>
      </c>
      <c r="C8" s="29">
        <f>+Resumen!C8</f>
        <v>0</v>
      </c>
      <c r="D8" s="8" t="s">
        <v>36</v>
      </c>
    </row>
    <row r="9" spans="2:11" x14ac:dyDescent="0.25">
      <c r="B9" s="9" t="s">
        <v>142</v>
      </c>
      <c r="C9" s="29">
        <f>+Resumen!C11</f>
        <v>0</v>
      </c>
      <c r="D9" s="8" t="s">
        <v>36</v>
      </c>
    </row>
    <row r="12" spans="2:11" x14ac:dyDescent="0.25">
      <c r="B12" s="3" t="s">
        <v>38</v>
      </c>
      <c r="C12" s="23">
        <f>+IF(C5=1,0.2,-0.3)</f>
        <v>0.2</v>
      </c>
    </row>
    <row r="13" spans="2:11" x14ac:dyDescent="0.25">
      <c r="B13" s="3" t="s">
        <v>39</v>
      </c>
      <c r="C13" s="23">
        <v>0.01</v>
      </c>
    </row>
    <row r="14" spans="2:11" x14ac:dyDescent="0.25">
      <c r="B14" s="3" t="s">
        <v>40</v>
      </c>
      <c r="C14" s="23">
        <f>+IF(C5=1,0,1)</f>
        <v>0</v>
      </c>
    </row>
    <row r="15" spans="2:11" x14ac:dyDescent="0.25">
      <c r="B15" s="3" t="s">
        <v>41</v>
      </c>
      <c r="C15" s="23">
        <f>+IF(C4&lt;=(coef_PGA!B2+PGA!C12),coef_PGA!K2,coef_PGA!L2)</f>
        <v>-0.33486951999999998</v>
      </c>
    </row>
    <row r="16" spans="2:11" x14ac:dyDescent="0.25">
      <c r="B16" s="3" t="s">
        <v>42</v>
      </c>
      <c r="C16" s="23">
        <f>+C15*(C4-(coef_PGA!B2+PGA!C12)) + coef_PGA!T2*(10-PGA!C4)^2</f>
        <v>-0.20092171199999986</v>
      </c>
    </row>
    <row r="17" spans="2:3" x14ac:dyDescent="0.25">
      <c r="B17" s="3" t="s">
        <v>47</v>
      </c>
      <c r="C17" s="23">
        <f>MIN(C6,120)</f>
        <v>35</v>
      </c>
    </row>
    <row r="18" spans="2:3" x14ac:dyDescent="0.25">
      <c r="B18" s="3" t="s">
        <v>48</v>
      </c>
      <c r="C18" s="23">
        <f>+coef_PGA!R2*(PGA!C17-60)*PGA!C14</f>
        <v>0</v>
      </c>
    </row>
    <row r="19" spans="2:3" x14ac:dyDescent="0.25">
      <c r="B19" s="3" t="s">
        <v>49</v>
      </c>
      <c r="C19" s="23">
        <f>+MAX(C3,85)</f>
        <v>85</v>
      </c>
    </row>
    <row r="20" spans="2:3" x14ac:dyDescent="0.25">
      <c r="B20" s="3" t="s">
        <v>50</v>
      </c>
      <c r="C20" s="23">
        <f>+MAX(C3,100)</f>
        <v>100</v>
      </c>
    </row>
    <row r="21" spans="2:3" x14ac:dyDescent="0.25">
      <c r="B21" s="3" t="s">
        <v>51</v>
      </c>
      <c r="C21" s="23">
        <f>+IF(C14=1,(coef_PGA!N2+coef_PGA!O2*LN(PGA!C19/40))*PGA!C8, (coef_PGA!V2 + coef_PGA!W2*LN(PGA!C20/40))*PGA!C8)</f>
        <v>0</v>
      </c>
    </row>
    <row r="22" spans="2:3" x14ac:dyDescent="0.25">
      <c r="B22" s="3" t="s">
        <v>52</v>
      </c>
      <c r="C22" s="23">
        <f>+MIN(C7,1000)</f>
        <v>300</v>
      </c>
    </row>
    <row r="23" spans="2:3" x14ac:dyDescent="0.25">
      <c r="B23" s="3" t="s">
        <v>53</v>
      </c>
      <c r="C23" s="23">
        <f>+coef_PGA!S2*LN(1000/coef_PGA!F2) + coef_PGA!G2*coef_PGA!D2*LN(1000/coef_PGA!F2)</f>
        <v>-5.5722992336653038E-2</v>
      </c>
    </row>
    <row r="24" spans="2:3" x14ac:dyDescent="0.25">
      <c r="B24" s="3" t="s">
        <v>56</v>
      </c>
      <c r="C24" s="23">
        <f>+coef_PGA!I2 + coef_PGA!U2*PGA!C14 +coef_PGA!J2*(PGA!C4-7.2)</f>
        <v>-1.6485957359999999</v>
      </c>
    </row>
    <row r="25" spans="2:3" x14ac:dyDescent="0.25">
      <c r="B25" s="3" t="s">
        <v>57</v>
      </c>
      <c r="C25" s="23">
        <f>LN(C3+coef_PGA!A2*EXP((PGA!C4-6)*coef_PGA!P2))</f>
        <v>4.2802071931854959</v>
      </c>
    </row>
    <row r="26" spans="2:3" x14ac:dyDescent="0.25">
      <c r="B26" s="3" t="s">
        <v>60</v>
      </c>
      <c r="C26" s="23">
        <f>+coef_PGA!H2 + coef_PGA!K2*PGA!C12 + C24*C25 + C3*coef_PGA!M2 + coef_PGA!Q2*PGA!C14 + C16 + C18 + C21 + C23</f>
        <v>-1.2969260242187892</v>
      </c>
    </row>
    <row r="27" spans="2:3" x14ac:dyDescent="0.25">
      <c r="B27" s="3" t="s">
        <v>61</v>
      </c>
      <c r="C27" s="23">
        <f>+EXP(C26)</f>
        <v>0.27337083810682483</v>
      </c>
    </row>
    <row r="28" spans="2:3" x14ac:dyDescent="0.25">
      <c r="B28" s="3" t="s">
        <v>55</v>
      </c>
      <c r="C28" s="23">
        <f>+C27</f>
        <v>0.27337083810682483</v>
      </c>
    </row>
    <row r="29" spans="2:3" x14ac:dyDescent="0.25">
      <c r="B29" s="3" t="s">
        <v>59</v>
      </c>
      <c r="C29" s="23">
        <f>+coef_PGA!S2*LN(C7/coef_PGA!F2) + coef_PGA!G2*coef_PGA!D2*LN(C7/coef_PGA!F2)</f>
        <v>0.40724635286243527</v>
      </c>
    </row>
    <row r="30" spans="2:3" x14ac:dyDescent="0.25">
      <c r="B30" s="3" t="s">
        <v>58</v>
      </c>
      <c r="C30" s="23">
        <f>+IF(C7&gt;coef_PGA!F2, PGA!C29, coef_PGA!S2*LN(PGA!C7/coef_PGA!F2) - coef_PGA!G2*LN(PGA!C28+coef_PGA!E2) + coef_PGA!G2*LN(PGA!C28 + coef_PGA!E2*(PGA!C7/coef_PGA!F2)^coef_PGA!D2))</f>
        <v>8.1561978946356056E-2</v>
      </c>
    </row>
    <row r="31" spans="2:3" x14ac:dyDescent="0.25">
      <c r="B31" s="3" t="s">
        <v>54</v>
      </c>
      <c r="C31" s="23">
        <f>+coef_PGA!H2 + coef_PGA!K2*PGA!C12 + C24*C25 + C3*coef_PGA!M2 + coef_PGA!Q2*PGA!C14 + C16 + C18 + C21 + C30</f>
        <v>-1.1596410529357801</v>
      </c>
    </row>
    <row r="32" spans="2:3" x14ac:dyDescent="0.25">
      <c r="C32" s="23"/>
    </row>
    <row r="33" spans="2:3" x14ac:dyDescent="0.25">
      <c r="B33" s="3" t="s">
        <v>62</v>
      </c>
      <c r="C33" s="23">
        <f>+coef_PGA!X2</f>
        <v>0.69118080000000004</v>
      </c>
    </row>
    <row r="34" spans="2:3" x14ac:dyDescent="0.25">
      <c r="B34" s="3" t="s">
        <v>63</v>
      </c>
      <c r="C34" s="23">
        <f>+coef_PGA!Y2</f>
        <v>0.47462209</v>
      </c>
    </row>
    <row r="35" spans="2:3" x14ac:dyDescent="0.25">
      <c r="B35" s="3" t="s">
        <v>64</v>
      </c>
      <c r="C35" s="23">
        <f>+coef_PGA!AA2</f>
        <v>0.56436372999999995</v>
      </c>
    </row>
    <row r="36" spans="2:3" x14ac:dyDescent="0.25">
      <c r="B36" s="3" t="s">
        <v>66</v>
      </c>
      <c r="C36" s="23">
        <f>+SQRT(C33^2 - C35^2)</f>
        <v>0.39902942065608049</v>
      </c>
    </row>
    <row r="37" spans="2:3" x14ac:dyDescent="0.25">
      <c r="B37" s="3" t="s">
        <v>65</v>
      </c>
      <c r="C37" s="23">
        <f>+SQRT(C33^2+C34^2)</f>
        <v>0.83844917950022957</v>
      </c>
    </row>
  </sheetData>
  <sheetProtection algorithmName="SHA-512" hashValue="tK9+HV51eMOD0qAySyYvzT1HvjNITYHqmMm//bdSyeFM6l7kpp86wzp+dBpGvyBVEJrRRDAl1Vawg/t0CyflrQ==" saltValue="yW/b55+QkNboItgZ2s+Qpw==" spinCount="100000" sheet="1" objects="1" scenarios="1"/>
  <mergeCells count="4">
    <mergeCell ref="B2:D2"/>
    <mergeCell ref="F3:F5"/>
    <mergeCell ref="J2:K2"/>
    <mergeCell ref="F2:H2"/>
  </mergeCells>
  <pageMargins left="0.7" right="0.7" top="0.75" bottom="0.75" header="0.3" footer="0.3"/>
  <pageSetup orientation="portrait" horizontalDpi="0" verticalDpi="0" r:id="rId1"/>
  <ignoredErrors>
    <ignoredError sqref="C5:C9 C3:C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033A-CAD2-41C4-9C5A-B87CD5FD7045}">
  <dimension ref="A1:AA2"/>
  <sheetViews>
    <sheetView topLeftCell="I1" workbookViewId="0">
      <selection activeCell="L6" sqref="L6"/>
    </sheetView>
  </sheetViews>
  <sheetFormatPr defaultColWidth="11.42578125" defaultRowHeight="15" x14ac:dyDescent="0.25"/>
  <sheetData>
    <row r="1" spans="1:27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0</v>
      </c>
      <c r="S1" t="s">
        <v>22</v>
      </c>
      <c r="T1" t="s">
        <v>1</v>
      </c>
      <c r="U1" t="s">
        <v>2</v>
      </c>
      <c r="V1" t="s">
        <v>3</v>
      </c>
      <c r="W1" t="s">
        <v>4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>
        <v>10</v>
      </c>
      <c r="B2">
        <v>7.2</v>
      </c>
      <c r="C2">
        <v>0</v>
      </c>
      <c r="D2">
        <v>1.18</v>
      </c>
      <c r="E2">
        <v>1.88</v>
      </c>
      <c r="F2">
        <v>865.1</v>
      </c>
      <c r="G2">
        <v>-1.1859999999999999</v>
      </c>
      <c r="H2">
        <v>5.8750439400000003</v>
      </c>
      <c r="I2">
        <v>-1.7535977199999999</v>
      </c>
      <c r="J2">
        <v>0.13125248</v>
      </c>
      <c r="K2">
        <v>0.80276784000000001</v>
      </c>
      <c r="L2">
        <v>-0.33486951999999998</v>
      </c>
      <c r="M2">
        <v>-3.9094999999999999E-4</v>
      </c>
      <c r="N2">
        <v>1.0988</v>
      </c>
      <c r="O2">
        <v>-1.42</v>
      </c>
      <c r="P2">
        <v>0.4</v>
      </c>
      <c r="Q2">
        <v>4.5314308099999998</v>
      </c>
      <c r="R2">
        <v>5.6734999999999997E-3</v>
      </c>
      <c r="S2">
        <v>1.0149452800000001</v>
      </c>
      <c r="T2">
        <v>0</v>
      </c>
      <c r="U2">
        <v>-0.73080261000000002</v>
      </c>
      <c r="V2">
        <v>0.99690000000000001</v>
      </c>
      <c r="W2">
        <v>-1</v>
      </c>
      <c r="X2">
        <v>0.69118080000000004</v>
      </c>
      <c r="Y2">
        <v>0.47462209</v>
      </c>
      <c r="Z2">
        <v>0.83844918000000002</v>
      </c>
      <c r="AA2">
        <v>0.56436372999999995</v>
      </c>
    </row>
  </sheetData>
  <sheetProtection algorithmName="SHA-512" hashValue="paNeGa2Fl+R4ponrOerckVz1vlljAbids/OKlYEsNgX9z4OKKjPGgHa7OjHeXRR0u/yY7N6gpSsj0JqzCFk7Rg==" saltValue="cMPXpUit62turUC8rVCtx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2AD02-4914-48DF-9DAD-D7154CF64DAF}">
  <dimension ref="B2:K49"/>
  <sheetViews>
    <sheetView workbookViewId="0">
      <selection activeCell="C3" sqref="C3:C10"/>
    </sheetView>
  </sheetViews>
  <sheetFormatPr defaultColWidth="11.42578125" defaultRowHeight="15.75" x14ac:dyDescent="0.25"/>
  <cols>
    <col min="1" max="1" width="11.42578125" style="3"/>
    <col min="2" max="2" width="17.5703125" style="3" customWidth="1"/>
    <col min="3" max="3" width="9.5703125" style="3" customWidth="1"/>
    <col min="4" max="6" width="11.42578125" style="3"/>
    <col min="7" max="7" width="14.5703125" style="3" bestFit="1" customWidth="1"/>
    <col min="8" max="16384" width="11.42578125" style="3"/>
  </cols>
  <sheetData>
    <row r="2" spans="2:11" x14ac:dyDescent="0.25">
      <c r="B2" s="25" t="s">
        <v>27</v>
      </c>
      <c r="C2" s="25"/>
      <c r="D2" s="25"/>
      <c r="F2" s="25" t="s">
        <v>71</v>
      </c>
      <c r="G2" s="25"/>
      <c r="H2" s="25"/>
      <c r="J2" s="25" t="s">
        <v>70</v>
      </c>
      <c r="K2" s="25"/>
    </row>
    <row r="3" spans="2:11" x14ac:dyDescent="0.25">
      <c r="B3" s="4" t="s">
        <v>28</v>
      </c>
      <c r="C3" s="5">
        <f>+Resumen!C3</f>
        <v>50</v>
      </c>
      <c r="D3" s="4" t="s">
        <v>29</v>
      </c>
      <c r="F3" s="14" t="s">
        <v>72</v>
      </c>
      <c r="G3" s="28">
        <f>+EXP(C44+C10*C49)</f>
        <v>67.494870589199564</v>
      </c>
      <c r="H3" s="4" t="s">
        <v>73</v>
      </c>
      <c r="J3" s="11" t="s">
        <v>67</v>
      </c>
      <c r="K3" s="12">
        <f>+C49</f>
        <v>0.72809618727610437</v>
      </c>
    </row>
    <row r="4" spans="2:11" x14ac:dyDescent="0.25">
      <c r="B4" s="4" t="s">
        <v>30</v>
      </c>
      <c r="C4" s="5">
        <f>+Resumen!C4</f>
        <v>8</v>
      </c>
      <c r="D4" s="4" t="s">
        <v>31</v>
      </c>
      <c r="F4" s="15"/>
      <c r="G4" s="16"/>
      <c r="H4" s="17"/>
      <c r="J4" s="11" t="s">
        <v>68</v>
      </c>
      <c r="K4" s="12">
        <f>+C46</f>
        <v>0.42031299999999999</v>
      </c>
    </row>
    <row r="5" spans="2:11" x14ac:dyDescent="0.25">
      <c r="B5" s="4" t="s">
        <v>148</v>
      </c>
      <c r="C5" s="5">
        <f>+Resumen!C5</f>
        <v>1</v>
      </c>
      <c r="D5" s="8" t="s">
        <v>36</v>
      </c>
      <c r="F5" s="15"/>
      <c r="G5" s="16"/>
      <c r="H5" s="17"/>
      <c r="J5" s="11" t="s">
        <v>69</v>
      </c>
      <c r="K5" s="12">
        <f>+SQRT(C47^2 + C48^2)</f>
        <v>0.59452589511054943</v>
      </c>
    </row>
    <row r="6" spans="2:11" x14ac:dyDescent="0.25">
      <c r="B6" s="4" t="s">
        <v>33</v>
      </c>
      <c r="C6" s="5">
        <f>+Resumen!C6</f>
        <v>35</v>
      </c>
      <c r="D6" s="4" t="s">
        <v>29</v>
      </c>
    </row>
    <row r="7" spans="2:11" x14ac:dyDescent="0.25">
      <c r="B7" s="4" t="s">
        <v>34</v>
      </c>
      <c r="C7" s="5">
        <f>+Resumen!C7</f>
        <v>300</v>
      </c>
      <c r="D7" s="4" t="s">
        <v>37</v>
      </c>
    </row>
    <row r="8" spans="2:11" x14ac:dyDescent="0.25">
      <c r="B8" s="4" t="s">
        <v>93</v>
      </c>
      <c r="C8" s="5">
        <f>+Resumen!C9</f>
        <v>0.8</v>
      </c>
      <c r="D8" s="8" t="s">
        <v>95</v>
      </c>
    </row>
    <row r="9" spans="2:11" x14ac:dyDescent="0.25">
      <c r="B9" s="4" t="s">
        <v>94</v>
      </c>
      <c r="C9" s="5">
        <f>+Resumen!C10</f>
        <v>1</v>
      </c>
      <c r="D9" s="8" t="s">
        <v>36</v>
      </c>
    </row>
    <row r="10" spans="2:11" x14ac:dyDescent="0.25">
      <c r="B10" s="9" t="s">
        <v>142</v>
      </c>
      <c r="C10" s="5">
        <f>+Resumen!C11</f>
        <v>0</v>
      </c>
      <c r="D10" s="8" t="s">
        <v>36</v>
      </c>
    </row>
    <row r="13" spans="2:11" x14ac:dyDescent="0.25">
      <c r="B13" s="3" t="s">
        <v>96</v>
      </c>
      <c r="C13" s="27">
        <v>7.6</v>
      </c>
    </row>
    <row r="14" spans="2:11" x14ac:dyDescent="0.25">
      <c r="B14" s="3" t="s">
        <v>97</v>
      </c>
      <c r="C14" s="23">
        <f>+IF(C4&lt;C13,coef_PGV!B2*(PGV!C4-PGV!C13), coef_PGV!C2*(PGV!C4-PGV!C13))</f>
        <v>-7.4481600000000064E-2</v>
      </c>
    </row>
    <row r="15" spans="2:11" x14ac:dyDescent="0.25">
      <c r="B15" s="3" t="s">
        <v>98</v>
      </c>
      <c r="C15" s="23">
        <f>+coef_PGV!D2*(PGV!C4-PGV!C13)^2</f>
        <v>-3.6269760000000061E-2</v>
      </c>
    </row>
    <row r="16" spans="2:11" x14ac:dyDescent="0.25">
      <c r="B16" s="3" t="s">
        <v>99</v>
      </c>
      <c r="C16" s="23">
        <f>+C15+C14</f>
        <v>-0.11075136000000013</v>
      </c>
    </row>
    <row r="17" spans="2:3" x14ac:dyDescent="0.25">
      <c r="B17" s="3" t="s">
        <v>103</v>
      </c>
      <c r="C17" s="23">
        <v>0.4</v>
      </c>
    </row>
    <row r="18" spans="2:3" x14ac:dyDescent="0.25">
      <c r="B18" s="3" t="s">
        <v>100</v>
      </c>
      <c r="C18" s="23">
        <f>+LN(C3+coef_PGV!I2*EXP(C17*(PGV!C4-6)))</f>
        <v>4.2802071931854959</v>
      </c>
    </row>
    <row r="19" spans="2:3" x14ac:dyDescent="0.25">
      <c r="B19" s="3" t="s">
        <v>101</v>
      </c>
      <c r="C19" s="23">
        <f>+coef_PGV!E2 + coef_PGV!F2*PGV!C5 + coef_PGV!G2*(PGV!C4-PGV!C13)</f>
        <v>-1.2878262</v>
      </c>
    </row>
    <row r="20" spans="2:3" x14ac:dyDescent="0.25">
      <c r="B20" s="3" t="s">
        <v>102</v>
      </c>
      <c r="C20" s="23">
        <f>+C18*C19 + coef_PGV!H2*PGV!C3</f>
        <v>-5.6352629648127435</v>
      </c>
    </row>
    <row r="21" spans="2:3" x14ac:dyDescent="0.25">
      <c r="B21" s="3" t="s">
        <v>104</v>
      </c>
      <c r="C21" s="23">
        <f>+(C6-60)*C5</f>
        <v>-25</v>
      </c>
    </row>
    <row r="22" spans="2:3" x14ac:dyDescent="0.25">
      <c r="B22" s="3" t="s">
        <v>105</v>
      </c>
      <c r="C22" s="23">
        <f>+C5</f>
        <v>1</v>
      </c>
    </row>
    <row r="23" spans="2:3" x14ac:dyDescent="0.25">
      <c r="B23" s="3" t="s">
        <v>106</v>
      </c>
      <c r="C23" s="23">
        <f>+coef_PGV!K2*PGV!C21 + coef_PGV!J2*PGV!C22</f>
        <v>2.8670680000000002</v>
      </c>
    </row>
    <row r="24" spans="2:3" x14ac:dyDescent="0.25">
      <c r="B24" s="3" t="s">
        <v>107</v>
      </c>
      <c r="C24" s="23">
        <v>1.8</v>
      </c>
    </row>
    <row r="25" spans="2:3" x14ac:dyDescent="0.25">
      <c r="B25" s="3" t="s">
        <v>108</v>
      </c>
      <c r="C25" s="23">
        <v>3</v>
      </c>
    </row>
    <row r="26" spans="2:3" x14ac:dyDescent="0.25">
      <c r="B26" s="3" t="s">
        <v>109</v>
      </c>
      <c r="C26" s="23">
        <v>725</v>
      </c>
    </row>
    <row r="27" spans="2:3" x14ac:dyDescent="0.25">
      <c r="B27" s="3" t="s">
        <v>110</v>
      </c>
      <c r="C27" s="23">
        <v>5.5</v>
      </c>
    </row>
    <row r="28" spans="2:3" x14ac:dyDescent="0.25">
      <c r="B28" s="3" t="s">
        <v>111</v>
      </c>
      <c r="C28" s="23">
        <f>+MIN(C7,1000)</f>
        <v>300</v>
      </c>
    </row>
    <row r="29" spans="2:3" x14ac:dyDescent="0.25">
      <c r="B29" s="3" t="s">
        <v>112</v>
      </c>
      <c r="C29" s="23">
        <f>+MIN(C8,6)</f>
        <v>0.8</v>
      </c>
    </row>
    <row r="30" spans="2:3" x14ac:dyDescent="0.25">
      <c r="B30" s="3" t="s">
        <v>113</v>
      </c>
      <c r="C30" s="23">
        <f>+LN(C28/PGV!C26)</f>
        <v>-0.88238918019847368</v>
      </c>
    </row>
    <row r="31" spans="2:3" x14ac:dyDescent="0.25">
      <c r="B31" s="3" t="s">
        <v>114</v>
      </c>
      <c r="C31" s="23">
        <f>+LN(C29/C27)</f>
        <v>-1.9278916435526348</v>
      </c>
    </row>
    <row r="32" spans="2:3" x14ac:dyDescent="0.25">
      <c r="B32" s="3" t="s">
        <v>115</v>
      </c>
      <c r="C32" s="23">
        <f>+coef_PGV!L2*PGV!C30 + coef_PGV!M2*PGV!C9*PGV!C31 + coef_PGV!N2*(PGV!C24*PGV!C30 +PGV!C25*PGV!C9*PGV!C31)</f>
        <v>0.42524897680255119</v>
      </c>
    </row>
    <row r="33" spans="2:3" x14ac:dyDescent="0.25">
      <c r="B33" s="3" t="s">
        <v>116</v>
      </c>
      <c r="C33" s="23">
        <f>+C32</f>
        <v>0.42524897680255119</v>
      </c>
    </row>
    <row r="34" spans="2:3" x14ac:dyDescent="0.25">
      <c r="B34" s="3" t="s">
        <v>117</v>
      </c>
      <c r="C34" s="23">
        <f>+coef_PGV!A2 + PGV!C16 + PGV!C20 + PGV!C23 +PGV!C33</f>
        <v>3.7918666519898077</v>
      </c>
    </row>
    <row r="35" spans="2:3" x14ac:dyDescent="0.25">
      <c r="B35" s="3" t="s">
        <v>118</v>
      </c>
      <c r="C35" s="23">
        <f>+EXP(C34)</f>
        <v>44.339088724889201</v>
      </c>
    </row>
    <row r="36" spans="2:3" x14ac:dyDescent="0.25">
      <c r="B36" s="3" t="s">
        <v>119</v>
      </c>
      <c r="C36" s="23">
        <v>4</v>
      </c>
    </row>
    <row r="37" spans="2:3" x14ac:dyDescent="0.25">
      <c r="B37" s="3" t="s">
        <v>120</v>
      </c>
      <c r="C37" s="23">
        <f>+(C28/C26)^C24</f>
        <v>0.20427247300194185</v>
      </c>
    </row>
    <row r="38" spans="2:3" x14ac:dyDescent="0.25">
      <c r="B38" s="3" t="s">
        <v>121</v>
      </c>
      <c r="C38" s="23">
        <f>+(C29/C27)^C25</f>
        <v>3.0773854244928638E-3</v>
      </c>
    </row>
    <row r="39" spans="2:3" x14ac:dyDescent="0.25">
      <c r="B39" s="3" t="s">
        <v>122</v>
      </c>
      <c r="C39" s="23">
        <f>+C35 + PGV!C36*(PGV!C37 + PGV!C9*PGV!C38)</f>
        <v>45.16848815859494</v>
      </c>
    </row>
    <row r="40" spans="2:3" x14ac:dyDescent="0.25">
      <c r="B40" s="3" t="s">
        <v>123</v>
      </c>
      <c r="C40" s="23">
        <f>+LN(C39)</f>
        <v>3.810399679073059</v>
      </c>
    </row>
    <row r="41" spans="2:3" x14ac:dyDescent="0.25">
      <c r="B41" s="3" t="s">
        <v>124</v>
      </c>
      <c r="C41" s="23">
        <f>+LN(C35 + C36)</f>
        <v>3.8782405237300268</v>
      </c>
    </row>
    <row r="42" spans="2:3" x14ac:dyDescent="0.25">
      <c r="B42" s="3" t="s">
        <v>125</v>
      </c>
      <c r="C42" s="23">
        <f>+coef_PGV!N2*PGV!C40 - coef_PGV!N2*PGV!C41 + coef_PGV!L2*PGV!C30 + coef_PGV!M2*PGV!C9*PGV!C31</f>
        <v>0.84543392853262667</v>
      </c>
    </row>
    <row r="43" spans="2:3" x14ac:dyDescent="0.25">
      <c r="B43" s="3" t="s">
        <v>126</v>
      </c>
      <c r="C43" s="23">
        <f>+IF(C7&lt;C26,C42,C32)</f>
        <v>0.84543392853262667</v>
      </c>
    </row>
    <row r="44" spans="2:3" x14ac:dyDescent="0.25">
      <c r="B44" s="3" t="s">
        <v>127</v>
      </c>
      <c r="C44" s="23">
        <f>+coef_PGV!A2 + PGV!C16 + PGV!C20 + PGV!C23 +PGV!C43</f>
        <v>4.2120516037198836</v>
      </c>
    </row>
    <row r="45" spans="2:3" x14ac:dyDescent="0.25">
      <c r="C45" s="23"/>
    </row>
    <row r="46" spans="2:3" x14ac:dyDescent="0.25">
      <c r="B46" s="3" t="s">
        <v>63</v>
      </c>
      <c r="C46" s="23">
        <f>+coef_PGV!O2</f>
        <v>0.42031299999999999</v>
      </c>
    </row>
    <row r="47" spans="2:3" x14ac:dyDescent="0.25">
      <c r="B47" s="3" t="s">
        <v>64</v>
      </c>
      <c r="C47" s="23">
        <f>+coef_PGV!P2</f>
        <v>0.42855399999999999</v>
      </c>
    </row>
    <row r="48" spans="2:3" x14ac:dyDescent="0.25">
      <c r="B48" s="3" t="s">
        <v>66</v>
      </c>
      <c r="C48" s="23">
        <f>+coef_PGV!Q2</f>
        <v>0.41207100000000002</v>
      </c>
    </row>
    <row r="49" spans="2:3" x14ac:dyDescent="0.25">
      <c r="B49" s="3" t="s">
        <v>128</v>
      </c>
      <c r="C49" s="23">
        <f>+SQRT(C46^2+C47^2+C48^2)</f>
        <v>0.72809618727610437</v>
      </c>
    </row>
  </sheetData>
  <mergeCells count="3">
    <mergeCell ref="B2:D2"/>
    <mergeCell ref="F2:H2"/>
    <mergeCell ref="J2:K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88F6-A5E5-4756-9D9A-4C184E57DE30}">
  <dimension ref="A1:R3"/>
  <sheetViews>
    <sheetView workbookViewId="0">
      <selection activeCell="E11" sqref="E11"/>
    </sheetView>
  </sheetViews>
  <sheetFormatPr defaultColWidth="11.42578125" defaultRowHeight="15" x14ac:dyDescent="0.25"/>
  <sheetData>
    <row r="1" spans="1:18" x14ac:dyDescent="0.25">
      <c r="A1" t="s">
        <v>92</v>
      </c>
      <c r="B1" t="s">
        <v>91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</row>
    <row r="2" spans="1:18" x14ac:dyDescent="0.25">
      <c r="A2" s="1">
        <v>6.2455639999999999</v>
      </c>
      <c r="B2" s="1">
        <v>-0.34429599999999999</v>
      </c>
      <c r="C2" s="1">
        <v>-0.18620400000000001</v>
      </c>
      <c r="D2" s="1">
        <v>-0.226686</v>
      </c>
      <c r="E2" s="1">
        <v>-0.91975399999999996</v>
      </c>
      <c r="F2" s="1">
        <v>-0.47017700000000001</v>
      </c>
      <c r="G2" s="1">
        <v>0.25526199999999999</v>
      </c>
      <c r="H2" s="1">
        <v>-2.4620000000000002E-3</v>
      </c>
      <c r="I2" s="1">
        <v>10</v>
      </c>
      <c r="J2" s="1">
        <v>2.8716680000000001</v>
      </c>
      <c r="K2" s="1">
        <v>1.84E-4</v>
      </c>
      <c r="L2" s="1">
        <v>-0.42060199999999998</v>
      </c>
      <c r="M2" s="1">
        <v>-0.24804399999999999</v>
      </c>
      <c r="N2" s="1">
        <v>5.7527000000000002E-2</v>
      </c>
      <c r="O2" s="1">
        <v>0.42031299999999999</v>
      </c>
      <c r="P2" s="1">
        <v>0.42855399999999999</v>
      </c>
      <c r="Q2" s="1">
        <v>0.41207100000000002</v>
      </c>
      <c r="R2" s="1">
        <v>0.72809599999999997</v>
      </c>
    </row>
    <row r="3" spans="1:18" x14ac:dyDescent="0.25">
      <c r="A3" t="s">
        <v>90</v>
      </c>
    </row>
  </sheetData>
  <sheetProtection algorithmName="SHA-512" hashValue="1oEb9Jq69Hz4kOzCI9uQbij4/zUBhXkVwJGz//9VXdKLXRUkPi4Dcoan0Ib3xL6EqdMChseA9/zAYA4dKvri4g==" saltValue="qQg2BZTN08opGQHTV8wB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Resumen</vt:lpstr>
      <vt:lpstr>PGA</vt:lpstr>
      <vt:lpstr>coef_PGA</vt:lpstr>
      <vt:lpstr>PGV</vt:lpstr>
      <vt:lpstr>coef_PGV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PGA y PGV de Modelos Montalva et al. (2017, 2019)</dc:title>
  <dc:creator>admin</dc:creator>
  <cp:lastModifiedBy>Gonzalo Montalva</cp:lastModifiedBy>
  <dcterms:created xsi:type="dcterms:W3CDTF">2015-06-05T18:17:20Z</dcterms:created>
  <dcterms:modified xsi:type="dcterms:W3CDTF">2019-07-12T13:10:14Z</dcterms:modified>
</cp:coreProperties>
</file>